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5" yWindow="-15" windowWidth="28830" windowHeight="11880" tabRatio="789" activeTab="3"/>
  </bookViews>
  <sheets>
    <sheet name="Info" sheetId="14" r:id="rId1"/>
    <sheet name="Netzbetreiber" sheetId="5" r:id="rId2"/>
    <sheet name="SLP-Verfahren" sheetId="15" r:id="rId3"/>
    <sheet name="SLP-Profile" sheetId="7" r:id="rId4"/>
    <sheet name="SLP-Temp-Gebiet #01" sheetId="17" r:id="rId5"/>
    <sheet name="SLP-Temp-Gebiet #02" sheetId="18" state="hidden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W24" i="7" l="1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Q24" i="7" s="1"/>
  <c r="H24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F5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M21" i="18"/>
  <c r="L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G21" i="18"/>
  <c r="I21" i="18"/>
  <c r="D56" i="18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8" i="7" s="1"/>
  <c r="H21" i="4"/>
  <c r="V18" i="7" s="1"/>
  <c r="G21" i="4"/>
  <c r="U18" i="7" s="1"/>
  <c r="F21" i="4"/>
  <c r="T18" i="7" s="1"/>
  <c r="E21" i="4"/>
  <c r="S18" i="7" s="1"/>
  <c r="D21" i="4"/>
  <c r="R18" i="7" s="1"/>
  <c r="M20" i="4"/>
  <c r="M19" i="4"/>
  <c r="M16" i="4"/>
  <c r="M18" i="4"/>
  <c r="M17" i="4"/>
  <c r="M15" i="4"/>
  <c r="M14" i="4"/>
  <c r="M13" i="4"/>
  <c r="M12" i="4"/>
  <c r="M11" i="4"/>
  <c r="X18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<sst xmlns="http://schemas.openxmlformats.org/spreadsheetml/2006/main" count="1379" uniqueCount="684">
  <si>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</si>
  <si>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</si>
  <si>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</si>
  <si>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</si>
  <si>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</si>
  <si>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</si>
  <si>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</si>
  <si>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</si>
  <si>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</si>
  <si>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</si>
  <si>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</si>
  <si>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</si>
  <si>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</si>
  <si>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</si>
  <si>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</si>
  <si>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</si>
  <si>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</si>
  <si>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</si>
  <si>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</si>
  <si>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</si>
  <si>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</si>
  <si>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</si>
  <si>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</si>
  <si>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</si>
  <si>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</si>
  <si>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</si>
  <si>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</si>
  <si>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</si>
  <si>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</si>
  <si>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</si>
  <si>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</si>
  <si>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</si>
  <si>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</si>
  <si>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</si>
  <si>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</si>
  <si>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</si>
  <si>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</si>
  <si>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</si>
  <si>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</si>
  <si>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</si>
  <si>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</si>
  <si>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</si>
  <si>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</si>
  <si>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</si>
  <si>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</si>
  <si>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</si>
  <si>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</si>
  <si>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</si>
  <si>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</si>
  <si>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</si>
  <si>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</si>
  <si>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</si>
  <si>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</si>
  <si>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</si>
  <si>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</si>
  <si>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</si>
  <si>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</si>
  <si>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</si>
  <si>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</si>
  <si>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</si>
  <si>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</si>
  <si>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</si>
  <si>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</si>
  <si>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</si>
  <si>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</si>
  <si>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</si>
  <si>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</si>
  <si>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</si>
  <si>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</si>
  <si>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</si>
  <si>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</si>
  <si>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</si>
  <si>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</si>
  <si>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</si>
  <si>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</si>
  <si>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</si>
  <si>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</si>
  <si>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</si>
  <si>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</si>
  <si>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</si>
  <si>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</si>
  <si>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</si>
  <si>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</si>
  <si>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</si>
  <si>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</si>
  <si>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</si>
  <si>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</si>
  <si>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</si>
  <si>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</si>
  <si>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</si>
  <si>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</si>
  <si>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</si>
  <si>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</si>
  <si>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</si>
  <si>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</si>
  <si>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</si>
  <si>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</si>
  <si>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</si>
  <si>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</si>
  <si>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</si>
  <si>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</si>
  <si>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</si>
  <si>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</si>
  <si>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</si>
  <si>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</si>
  <si>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</si>
  <si>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</si>
  <si>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</si>
  <si>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</si>
  <si>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</si>
  <si>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</si>
  <si>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</si>
  <si>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</si>
  <si>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</si>
  <si>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</si>
  <si>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</si>
  <si>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</si>
  <si>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</si>
  <si>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</si>
  <si>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</si>
  <si>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</si>
  <si>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</si>
  <si>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</si>
  <si>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</si>
  <si>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</si>
  <si>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</si>
  <si>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</si>
  <si>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</si>
  <si>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</si>
  <si>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</si>
  <si>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</si>
  <si>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</si>
  <si>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</si>
  <si>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</si>
  <si>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</si>
  <si>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</si>
  <si>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</si>
  <si>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</si>
  <si>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</si>
  <si>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</si>
  <si>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</si>
  <si>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</si>
  <si>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</si>
  <si>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</si>
  <si>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</si>
  <si>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</si>
  <si>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</si>
  <si>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</si>
  <si>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</si>
  <si>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</si>
  <si>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</si>
  <si>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</si>
  <si>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</si>
  <si>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</si>
  <si>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</si>
  <si>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</si>
  <si>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</si>
  <si>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</si>
  <si>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</si>
  <si>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</si>
  <si>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</si>
  <si>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</si>
  <si>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</si>
  <si>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</si>
  <si>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</si>
  <si>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</si>
  <si>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</si>
  <si>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</si>
  <si>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</si>
  <si>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</si>
  <si>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</si>
  <si>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</si>
  <si>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</si>
  <si>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</si>
  <si>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</si>
  <si>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</si>
  <si>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</si>
  <si>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</si>
  <si>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</si>
  <si>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</si>
  <si>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</si>
  <si>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</si>
  <si>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</si>
  <si>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</si>
  <si>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</si>
  <si>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</si>
  <si>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</si>
  <si>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</si>
  <si>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</si>
  <si>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</si>
  <si>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</si>
  <si>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</si>
  <si>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</si>
  <si>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</si>
  <si>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</si>
  <si>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</si>
  <si>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</si>
  <si>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</si>
  <si>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</si>
  <si>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</si>
  <si>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</si>
  <si>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</si>
  <si>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</si>
  <si>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</si>
  <si>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</si>
  <si>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</si>
  <si>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</si>
  <si>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</si>
  <si>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</si>
  <si>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</si>
  <si>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</si>
  <si>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</si>
  <si>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</si>
  <si>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</si>
  <si>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</si>
  <si>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</si>
  <si>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</si>
  <si>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</si>
  <si>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</si>
  <si>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</si>
  <si>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</si>
  <si>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</si>
  <si>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</si>
  <si>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</si>
  <si>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</si>
  <si>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</si>
  <si>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</si>
  <si>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</si>
  <si>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</si>
  <si>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</si>
  <si>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</si>
  <si>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</si>
  <si>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</si>
  <si>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</si>
  <si>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</si>
  <si>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</si>
  <si>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</si>
  <si>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</si>
  <si>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</si>
  <si>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</si>
  <si>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</si>
  <si>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</si>
  <si>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</si>
  <si>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</si>
  <si>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</si>
  <si>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</si>
  <si>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</si>
  <si>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</si>
  <si>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</si>
  <si>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</si>
  <si>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</si>
  <si>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</si>
  <si>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</si>
  <si>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</si>
  <si>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</si>
  <si>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</si>
  <si>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</si>
  <si>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</si>
  <si>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</si>
  <si>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</si>
  <si>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</si>
  <si>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</si>
  <si>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</si>
  <si>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</si>
  <si>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</si>
  <si>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</si>
  <si>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</si>
  <si>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</si>
  <si>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</si>
  <si>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</si>
  <si>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</si>
  <si>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</si>
  <si>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</si>
  <si>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</si>
  <si>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</si>
  <si>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</si>
  <si>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</si>
  <si>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</si>
  <si>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</si>
  <si>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</si>
  <si>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</si>
  <si>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</si>
  <si>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</si>
  <si>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</si>
  <si>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</si>
  <si>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</si>
  <si>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</si>
  <si>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</si>
  <si>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</si>
  <si>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</si>
  <si>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</si>
  <si>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</si>
  <si>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</si>
  <si>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</si>
  <si>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</si>
  <si>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</si>
  <si>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</si>
  <si>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</si>
  <si>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</si>
  <si>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</si>
  <si>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</si>
  <si>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</si>
  <si>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</si>
  <si>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</si>
  <si>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</si>
  <si>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</si>
  <si>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</si>
  <si>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</si>
  <si>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</si>
  <si>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</si>
  <si>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</si>
  <si>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</si>
  <si>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</si>
  <si>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</si>
  <si>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</si>
  <si>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</si>
  <si>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</si>
  <si>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</si>
  <si>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</si>
  <si>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</si>
  <si>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</si>
  <si>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</si>
  <si>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</si>
  <si>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</si>
  <si>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</si>
  <si>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</si>
  <si>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</si>
  <si>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</si>
  <si>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</si>
  <si>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</si>
  <si>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</si>
  <si>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</si>
  <si>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</si>
  <si>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</si>
  <si>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</si>
  <si>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</si>
  <si>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</si>
  <si>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</si>
  <si>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</si>
  <si>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</si>
  <si>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</si>
  <si>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</si>
  <si>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</si>
  <si>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</si>
  <si>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</si>
  <si>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</si>
  <si>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</si>
  <si>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</si>
  <si>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</si>
  <si>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</si>
  <si>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</si>
  <si>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</si>
  <si>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</si>
  <si>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</si>
  <si>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</si>
  <si>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</si>
  <si>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</si>
  <si>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</si>
  <si>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</si>
  <si>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</si>
  <si>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</si>
  <si>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</si>
  <si>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</si>
  <si>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</si>
  <si>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</si>
  <si>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</si>
  <si>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</si>
  <si>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</si>
  <si>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</si>
  <si>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</si>
  <si>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</si>
  <si>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</si>
  <si>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</si>
  <si>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</si>
  <si>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</si>
  <si>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</si>
  <si>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</si>
  <si>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</si>
  <si>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</si>
  <si>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</si>
  <si>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</si>
  <si>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</si>
  <si>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</si>
  <si>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</si>
  <si>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</si>
  <si>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</si>
  <si>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</si>
  <si>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</si>
  <si>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</si>
  <si>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</si>
  <si>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</si>
  <si>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</si>
  <si>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</si>
  <si>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</si>
  <si>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</si>
  <si>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</si>
  <si>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</si>
  <si>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</si>
  <si>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</si>
  <si>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</si>
  <si>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</si>
  <si>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</si>
  <si>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</si>
  <si>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</si>
  <si>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</si>
  <si>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</si>
  <si>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</si>
  <si>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</si>
  <si>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</si>
  <si>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</si>
  <si>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</si>
  <si>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</si>
  <si>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</si>
  <si>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</si>
  <si>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</si>
  <si>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</si>
  <si>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</si>
  <si>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</si>
  <si>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</si>
  <si>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</si>
  <si>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</si>
  <si>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</si>
  <si>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</si>
  <si>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</si>
  <si>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</si>
  <si>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</si>
  <si>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</si>
  <si>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</si>
  <si>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</si>
  <si>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</si>
  <si>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</si>
  <si>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</si>
  <si>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</si>
  <si>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</si>
  <si>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</si>
  <si>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</si>
  <si>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</si>
  <si>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</si>
  <si>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</si>
  <si>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</si>
  <si>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</si>
  <si>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</si>
  <si>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</si>
  <si>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</si>
  <si>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</si>
  <si>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</si>
  <si>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</si>
  <si>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</si>
  <si>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</si>
  <si>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</si>
  <si>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</si>
  <si>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</si>
  <si>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</si>
  <si>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</si>
  <si>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</si>
  <si>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</si>
  <si>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</si>
  <si>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</si>
  <si>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</si>
  <si>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</si>
  <si>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</si>
  <si>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</si>
  <si>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</si>
  <si>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</si>
  <si>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</si>
  <si>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</si>
  <si>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</si>
  <si>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</si>
  <si>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</si>
  <si>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</si>
  <si>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</si>
  <si>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</si>
  <si>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</si>
  <si>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</si>
  <si>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</si>
  <si>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</si>
  <si>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</si>
  <si>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</si>
  <si>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</si>
  <si>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</si>
  <si>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</si>
  <si>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</si>
  <si>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</si>
  <si>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</si>
  <si>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</si>
  <si>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</si>
  <si>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</si>
  <si>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</si>
  <si>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</si>
  <si>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</si>
  <si>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</si>
  <si>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</si>
  <si>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</si>
  <si>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</si>
  <si>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</si>
  <si>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</si>
  <si>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</si>
  <si>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</si>
  <si>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</si>
  <si>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</si>
  <si>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</si>
  <si>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</si>
  <si>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</si>
  <si>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</si>
  <si>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</si>
  <si>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</si>
  <si>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</si>
  <si>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</si>
  <si>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</si>
  <si>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</si>
  <si>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</si>
  <si>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</si>
  <si>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</si>
  <si>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</si>
  <si>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</si>
  <si>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</si>
  <si>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</si>
  <si>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</si>
  <si>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</si>
  <si>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</si>
  <si>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</si>
  <si>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</si>
  <si>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</si>
  <si>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</si>
  <si>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</si>
  <si>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</si>
  <si>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</si>
  <si>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</si>
  <si>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</si>
  <si>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</si>
  <si>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</si>
  <si>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</si>
  <si>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</si>
  <si>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</si>
  <si>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</si>
  <si>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</si>
  <si>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</si>
  <si>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</si>
  <si>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</si>
  <si>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</si>
  <si>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</si>
  <si>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</si>
  <si>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</si>
  <si>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</si>
  <si>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</si>
  <si>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</si>
  <si>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</si>
  <si>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</si>
  <si>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</si>
  <si>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</si>
  <si>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</si>
  <si>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</si>
  <si>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</si>
  <si>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</si>
  <si>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</si>
  <si>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</si>
  <si>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</si>
  <si>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</si>
  <si>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</si>
  <si>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</si>
  <si>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</si>
  <si>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</si>
  <si>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</si>
  <si>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</si>
  <si>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</si>
  <si>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</si>
  <si>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</si>
  <si>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</si>
  <si>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</si>
  <si>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</si>
  <si>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</si>
  <si>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</si>
  <si>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</si>
  <si>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</si>
  <si>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</si>
  <si>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</si>
  <si>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</si>
  <si>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</si>
  <si>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</si>
  <si>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</si>
  <si>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</si>
  <si>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</si>
  <si>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</si>
  <si>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</si>
  <si>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</si>
  <si>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</si>
  <si>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</si>
  <si>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</si>
  <si>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</si>
  <si>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</si>
  <si>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</si>
  <si>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</si>
  <si>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</si>
  <si>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</si>
  <si>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</si>
  <si>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</si>
  <si>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</si>
  <si>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</si>
  <si>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</si>
  <si>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</si>
  <si>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</si>
  <si>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</si>
  <si>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</si>
  <si>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</si>
  <si>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</si>
  <si>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</si>
  <si>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</si>
  <si>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</si>
  <si>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</si>
  <si>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</si>
  <si>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</si>
  <si>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</si>
  <si>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</si>
  <si>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</si>
  <si>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</si>
  <si>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</si>
  <si>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</si>
  <si>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</si>
  <si>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</si>
  <si>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</si>
  <si>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</si>
  <si>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</si>
  <si>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</si>
  <si>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</si>
  <si>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</si>
  <si>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</si>
  <si>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</si>
  <si>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</si>
  <si>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</si>
  <si>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</si>
  <si>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</si>
  <si>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</si>
  <si>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</si>
  <si>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</si>
  <si>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</si>
  <si>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</si>
  <si>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</si>
  <si>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</si>
  <si>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</si>
  <si>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</si>
  <si>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</si>
  <si>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</si>
  <si>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</si>
  <si>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</si>
  <si>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</si>
  <si>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</si>
  <si>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</si>
  <si>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</si>
  <si>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</si>
  <si>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</si>
  <si>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</si>
  <si>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</si>
  <si>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</si>
  <si>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</si>
  <si>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</si>
  <si>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</si>
  <si>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Schramberg GmbH &amp; Co. KG</t>
  </si>
  <si>
    <t>9870048500002</t>
  </si>
  <si>
    <t>Gustav-Maier-Str. 11</t>
  </si>
  <si>
    <t>Schramberg</t>
  </si>
  <si>
    <t>Nicole Kleint</t>
  </si>
  <si>
    <t>netzzugang@stadtwerke-schramberg.de</t>
  </si>
  <si>
    <t>07422/9534-0</t>
  </si>
  <si>
    <t>NCHN007002760000</t>
  </si>
  <si>
    <t>Gesamtnetz</t>
  </si>
  <si>
    <t>meteoGroup</t>
  </si>
  <si>
    <t>Königsfeld</t>
  </si>
  <si>
    <t>DE_GBD34</t>
  </si>
  <si>
    <t>DE_HMF34</t>
  </si>
  <si>
    <t>DE_HEF34</t>
  </si>
  <si>
    <t>DE_GMK34</t>
  </si>
  <si>
    <t>DE_GHA34</t>
  </si>
  <si>
    <t>DE_GKO34</t>
  </si>
  <si>
    <t>DE_GMF34</t>
  </si>
  <si>
    <t>DE_GGA34</t>
  </si>
  <si>
    <t>DE_GBH34</t>
  </si>
  <si>
    <t>DE_GWA34</t>
  </si>
  <si>
    <t>DE_GGB34</t>
  </si>
  <si>
    <t>DE_GBA34</t>
  </si>
  <si>
    <t>AB4</t>
  </si>
  <si>
    <t>DE_GHD34</t>
  </si>
  <si>
    <t>DH4</t>
  </si>
  <si>
    <t>DE_GPD34</t>
  </si>
  <si>
    <t>DP4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</si>
</sst>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J28" sqref="J2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43055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43101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78713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Gesamtnetz</v>
      </c>
      <c r="E28" s="38"/>
      <c r="F28" s="11"/>
      <c r="G28" s="2"/>
    </row>
    <row r="29" spans="1:15">
      <c r="B29" s="15"/>
      <c r="C29" s="22" t="s">
        <v>396</v>
      </c>
      <c r="D29" s="45" t="s">
        <v>664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Schramberg GmbH &amp; Co. KG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Gesamtnetz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9870048500002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43101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664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K31" sqref="K3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Schramberg GmbH &amp; Co. KG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Gesamtnetz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9870048500002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43101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667</v>
      </c>
      <c r="F11" s="296" t="str">
        <f>VLOOKUP($E11,'BDEW-Standard'!$B$3:$M$158,F$9,0)</f>
        <v>DB4</v>
      </c>
      <c r="H11" s="167">
        <f>ROUND(VLOOKUP($E11,'BDEW-Standard'!$B$3:$M$158,H$9,0),7)</f>
        <v>1.5175791999999999</v>
      </c>
      <c r="I11" s="167">
        <f>ROUND(VLOOKUP($E11,'BDEW-Standard'!$B$3:$M$158,I$9,0),7)</f>
        <v>-37.5</v>
      </c>
      <c r="J11" s="167">
        <f>ROUND(VLOOKUP($E11,'BDEW-Standard'!$B$3:$M$158,J$9,0),7)</f>
        <v>6.8</v>
      </c>
      <c r="K11" s="167">
        <f>ROUND(VLOOKUP($E11,'BDEW-Standard'!$B$3:$M$158,K$9,0),7)</f>
        <v>2.9580100000000002E-2</v>
      </c>
      <c r="L11" s="336">
        <f>ROUND(VLOOKUP($E11,'BDEW-Standard'!$B$3:$M$158,L$9,0),1)</f>
        <v>40</v>
      </c>
      <c r="M11" s="167">
        <f>ROUND(VLOOKUP($E11,'BDEW-Standard'!$B$3:$M$158,M$9,0),7)</f>
        <v>-7.8855900000000007E-2</v>
      </c>
      <c r="N11" s="167">
        <f>ROUND(VLOOKUP($E11,'BDEW-Standard'!$B$3:$M$158,N$9,0),7)</f>
        <v>1.2161249999999999</v>
      </c>
      <c r="O11" s="167">
        <f>ROUND(VLOOKUP($E11,'BDEW-Standard'!$B$3:$M$158,O$9,0),7)</f>
        <v>-1.3133999999999999E-3</v>
      </c>
      <c r="P11" s="167">
        <f>ROUND(VLOOKUP($E11,'BDEW-Standard'!$B$3:$M$158,P$9,0),7)</f>
        <v>9.6872100000000003E-2</v>
      </c>
      <c r="Q11" s="337">
        <f>($H11/(1+($I11/($Q$9-$L11))^$J11)+$K11)+MAX($M11*$Q$9+$N11,$O11*$Q$9+$P11)</f>
        <v>1.0000002163173649</v>
      </c>
      <c r="R11" s="168">
        <f>ROUND(VLOOKUP(MID($E11,4,3),'Wochentag F(WT)'!$B$7:$J$22,R$9,0),4)</f>
        <v>1.1052</v>
      </c>
      <c r="S11" s="168">
        <f>ROUND(VLOOKUP(MID($E11,4,3),'Wochentag F(WT)'!$B$7:$J$22,S$9,0),4)</f>
        <v>1.0857000000000001</v>
      </c>
      <c r="T11" s="168">
        <f>ROUND(VLOOKUP(MID($E11,4,3),'Wochentag F(WT)'!$B$7:$J$22,T$9,0),4)</f>
        <v>1.0378000000000001</v>
      </c>
      <c r="U11" s="168">
        <f>ROUND(VLOOKUP(MID($E11,4,3),'Wochentag F(WT)'!$B$7:$J$22,U$9,0),4)</f>
        <v>1.0622</v>
      </c>
      <c r="V11" s="168">
        <f>ROUND(VLOOKUP(MID($E11,4,3),'Wochentag F(WT)'!$B$7:$J$22,V$9,0),4)</f>
        <v>1.0266</v>
      </c>
      <c r="W11" s="168">
        <f>ROUND(VLOOKUP(MID($E11,4,3),'Wochentag F(WT)'!$B$7:$J$22,W$9,0),4)</f>
        <v>0.76290000000000002</v>
      </c>
      <c r="X11" s="169">
        <f>7-SUM(R11:W11)</f>
        <v>0.91959999999999997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Gesamtnetz</v>
      </c>
      <c r="D12" s="62" t="s">
        <v>247</v>
      </c>
      <c r="E12" s="165" t="s">
        <v>669</v>
      </c>
      <c r="F12" s="297" t="str">
        <f>VLOOKUP($E12,'BDEW-Standard'!$B$3:$M$94,F$9,0)</f>
        <v>1D4</v>
      </c>
      <c r="H12" s="274">
        <f>ROUND(VLOOKUP($E12,'BDEW-Standard'!$B$3:$M$94,H$9,0),7)</f>
        <v>1.3819663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3.9628400000000001E-2</v>
      </c>
      <c r="L12" s="338">
        <f>ROUND(VLOOKUP($E12,'BDEW-Standard'!$B$3:$M$94,L$9,0),1)</f>
        <v>40</v>
      </c>
      <c r="M12" s="274">
        <f>ROUND(VLOOKUP($E12,'BDEW-Standard'!$B$3:$M$94,M$9,0),7)</f>
        <v>-6.7215899999999995E-2</v>
      </c>
      <c r="N12" s="274">
        <f>ROUND(VLOOKUP($E12,'BDEW-Standard'!$B$3:$M$94,N$9,0),7)</f>
        <v>1.1167138000000001</v>
      </c>
      <c r="O12" s="274">
        <f>ROUND(VLOOKUP($E12,'BDEW-Standard'!$B$3:$M$94,O$9,0),7)</f>
        <v>-1.9981999999999999E-3</v>
      </c>
      <c r="P12" s="274">
        <f>ROUND(VLOOKUP($E12,'BDEW-Standard'!$B$3:$M$94,P$9,0),7)</f>
        <v>0.13550699999999999</v>
      </c>
      <c r="Q12" s="339">
        <f t="shared" ref="Q12:Q23" si="1">($H12/(1+($I12/($Q$9-$L12))^$J12)+$K12)+MAX($M12*$Q$9+$N12,$O12*$Q$9+$P12)</f>
        <v>0.99999978578617399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Gesamtnetz</v>
      </c>
      <c r="D13" s="62" t="s">
        <v>247</v>
      </c>
      <c r="E13" s="165" t="s">
        <v>668</v>
      </c>
      <c r="F13" s="297" t="str">
        <f>VLOOKUP($E13,'BDEW-Standard'!$B$3:$M$94,F$9,0)</f>
        <v>2D4</v>
      </c>
      <c r="H13" s="274">
        <f>ROUND(VLOOKUP($E13,'BDEW-Standard'!$B$3:$M$94,H$9,0),7)</f>
        <v>1.0443538000000001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5.0291700000000002E-2</v>
      </c>
      <c r="L13" s="338">
        <f>ROUND(VLOOKUP($E13,'BDEW-Standard'!$B$3:$M$94,L$9,0),1)</f>
        <v>40</v>
      </c>
      <c r="M13" s="274">
        <f>ROUND(VLOOKUP($E13,'BDEW-Standard'!$B$3:$M$94,M$9,0),7)</f>
        <v>-5.3582999999999999E-2</v>
      </c>
      <c r="N13" s="274">
        <f>ROUND(VLOOKUP($E13,'BDEW-Standard'!$B$3:$M$94,N$9,0),7)</f>
        <v>0.99959010000000004</v>
      </c>
      <c r="O13" s="274">
        <f>ROUND(VLOOKUP($E13,'BDEW-Standard'!$B$3:$M$94,O$9,0),7)</f>
        <v>-2.1757999999999999E-3</v>
      </c>
      <c r="P13" s="274">
        <f>ROUND(VLOOKUP($E13,'BDEW-Standard'!$B$3:$M$94,P$9,0),7)</f>
        <v>0.1633299</v>
      </c>
      <c r="Q13" s="339">
        <f t="shared" si="1"/>
        <v>1.0000001838008261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3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Gesamtnetz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Gesamtnetz</v>
      </c>
      <c r="D15" s="62" t="s">
        <v>247</v>
      </c>
      <c r="E15" s="165" t="s">
        <v>670</v>
      </c>
      <c r="F15" s="297" t="str">
        <f>VLOOKUP($E15,'BDEW-Standard'!$B$3:$M$94,F$9,0)</f>
        <v>KM4</v>
      </c>
      <c r="H15" s="274">
        <f>ROUND(VLOOKUP($E15,'BDEW-Standard'!$B$3:$M$94,H$9,0),7)</f>
        <v>1.3284913</v>
      </c>
      <c r="I15" s="274">
        <f>ROUND(VLOOKUP($E15,'BDEW-Standard'!$B$3:$M$94,I$9,0),7)</f>
        <v>-35.871506199999999</v>
      </c>
      <c r="J15" s="274">
        <f>ROUND(VLOOKUP($E15,'BDEW-Standard'!$B$3:$M$94,J$9,0),7)</f>
        <v>7.5186828999999999</v>
      </c>
      <c r="K15" s="274">
        <f>ROUND(VLOOKUP($E15,'BDEW-Standard'!$B$3:$M$94,K$9,0),7)</f>
        <v>1.7554E-2</v>
      </c>
      <c r="L15" s="338">
        <f>ROUND(VLOOKUP($E15,'BDEW-Standard'!$B$3:$M$94,L$9,0),1)</f>
        <v>40</v>
      </c>
      <c r="M15" s="274">
        <f>ROUND(VLOOKUP($E15,'BDEW-Standard'!$B$3:$M$94,M$9,0),7)</f>
        <v>-7.5898300000000002E-2</v>
      </c>
      <c r="N15" s="274">
        <f>ROUND(VLOOKUP($E15,'BDEW-Standard'!$B$3:$M$94,N$9,0),7)</f>
        <v>1.1942554999999999</v>
      </c>
      <c r="O15" s="274">
        <f>ROUND(VLOOKUP($E15,'BDEW-Standard'!$B$3:$M$94,O$9,0),7)</f>
        <v>-8.9800000000000004E-4</v>
      </c>
      <c r="P15" s="274">
        <f>ROUND(VLOOKUP($E15,'BDEW-Standard'!$B$3:$M$94,P$9,0),7)</f>
        <v>6.0333699999999997E-2</v>
      </c>
      <c r="Q15" s="339">
        <f t="shared" si="1"/>
        <v>0.99999979406904638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Gesamtnetz</v>
      </c>
      <c r="D16" s="62" t="s">
        <v>247</v>
      </c>
      <c r="E16" s="165" t="s">
        <v>671</v>
      </c>
      <c r="F16" s="297" t="str">
        <f>VLOOKUP($E16,'BDEW-Standard'!$B$3:$M$94,F$9,0)</f>
        <v>AH4</v>
      </c>
      <c r="H16" s="274">
        <f>ROUND(VLOOKUP($E16,'BDEW-Standard'!$B$3:$M$94,H$9,0),7)</f>
        <v>1.8398455</v>
      </c>
      <c r="I16" s="274">
        <f>ROUND(VLOOKUP($E16,'BDEW-Standard'!$B$3:$M$94,I$9,0),7)</f>
        <v>-37.828203700000003</v>
      </c>
      <c r="J16" s="274">
        <f>ROUND(VLOOKUP($E16,'BDEW-Standard'!$B$3:$M$94,J$9,0),7)</f>
        <v>8.1593368999999996</v>
      </c>
      <c r="K16" s="274">
        <f>ROUND(VLOOKUP($E16,'BDEW-Standard'!$B$3:$M$94,K$9,0),7)</f>
        <v>2.5971000000000001E-2</v>
      </c>
      <c r="L16" s="338">
        <f>ROUND(VLOOKUP($E16,'BDEW-Standard'!$B$3:$M$94,L$9,0),1)</f>
        <v>40</v>
      </c>
      <c r="M16" s="274">
        <f>ROUND(VLOOKUP($E16,'BDEW-Standard'!$B$3:$M$94,M$9,0),7)</f>
        <v>-0.1069262</v>
      </c>
      <c r="N16" s="274">
        <f>ROUND(VLOOKUP($E16,'BDEW-Standard'!$B$3:$M$94,N$9,0),7)</f>
        <v>1.4552240000000001</v>
      </c>
      <c r="O16" s="274">
        <f>ROUND(VLOOKUP($E16,'BDEW-Standard'!$B$3:$M$94,O$9,0),7)</f>
        <v>-4.9200000000000003E-4</v>
      </c>
      <c r="P16" s="274">
        <f>ROUND(VLOOKUP($E16,'BDEW-Standard'!$B$3:$M$94,P$9,0),7)</f>
        <v>6.9185099999999999E-2</v>
      </c>
      <c r="Q16" s="339">
        <f t="shared" si="1"/>
        <v>0.99999974325043151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Gesamtnetz</v>
      </c>
      <c r="D17" s="62" t="s">
        <v>247</v>
      </c>
      <c r="E17" s="165" t="s">
        <v>672</v>
      </c>
      <c r="F17" s="297" t="str">
        <f>VLOOKUP($E17,'BDEW-Standard'!$B$3:$M$94,F$9,0)</f>
        <v>OK4</v>
      </c>
      <c r="H17" s="274">
        <f>ROUND(VLOOKUP($E17,'BDEW-Standard'!$B$3:$M$94,H$9,0),7)</f>
        <v>1.4256683999999999</v>
      </c>
      <c r="I17" s="274">
        <f>ROUND(VLOOKUP($E17,'BDEW-Standard'!$B$3:$M$94,I$9,0),7)</f>
        <v>-36.659050399999998</v>
      </c>
      <c r="J17" s="274">
        <f>ROUND(VLOOKUP($E17,'BDEW-Standard'!$B$3:$M$94,J$9,0),7)</f>
        <v>7.6083226000000002</v>
      </c>
      <c r="K17" s="274">
        <f>ROUND(VLOOKUP($E17,'BDEW-Standard'!$B$3:$M$94,K$9,0),7)</f>
        <v>3.7111600000000002E-2</v>
      </c>
      <c r="L17" s="338">
        <f>ROUND(VLOOKUP($E17,'BDEW-Standard'!$B$3:$M$94,L$9,0),1)</f>
        <v>40</v>
      </c>
      <c r="M17" s="274">
        <f>ROUND(VLOOKUP($E17,'BDEW-Standard'!$B$3:$M$94,M$9,0),7)</f>
        <v>-8.0935900000000005E-2</v>
      </c>
      <c r="N17" s="274">
        <f>ROUND(VLOOKUP($E17,'BDEW-Standard'!$B$3:$M$94,N$9,0),7)</f>
        <v>1.2364527000000001</v>
      </c>
      <c r="O17" s="274">
        <f>ROUND(VLOOKUP($E17,'BDEW-Standard'!$B$3:$M$94,O$9,0),7)</f>
        <v>-7.628E-4</v>
      </c>
      <c r="P17" s="274">
        <f>ROUND(VLOOKUP($E17,'BDEW-Standard'!$B$3:$M$94,P$9,0),7)</f>
        <v>0.1002979</v>
      </c>
      <c r="Q17" s="339">
        <f t="shared" si="1"/>
        <v>0.99999996033498917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Gesamtnetz</v>
      </c>
      <c r="D18" s="62" t="s">
        <v>247</v>
      </c>
      <c r="E18" s="165" t="s">
        <v>673</v>
      </c>
      <c r="F18" s="297" t="str">
        <f>VLOOKUP($E18,'BDEW-Standard'!$B$3:$M$94,F$9,0)</f>
        <v>FM4</v>
      </c>
      <c r="H18" s="274">
        <f>ROUND(VLOOKUP($E18,'BDEW-Standard'!$B$3:$M$94,H$9,0),7)</f>
        <v>1.0443538000000001</v>
      </c>
      <c r="I18" s="274">
        <f>ROUND(VLOOKUP($E18,'BDEW-Standard'!$B$3:$M$94,I$9,0),7)</f>
        <v>-35.033375399999997</v>
      </c>
      <c r="J18" s="274">
        <f>ROUND(VLOOKUP($E18,'BDEW-Standard'!$B$3:$M$94,J$9,0),7)</f>
        <v>6.2240634000000004</v>
      </c>
      <c r="K18" s="274">
        <f>ROUND(VLOOKUP($E18,'BDEW-Standard'!$B$3:$M$94,K$9,0),7)</f>
        <v>5.0291700000000002E-2</v>
      </c>
      <c r="L18" s="338">
        <f>ROUND(VLOOKUP($E18,'BDEW-Standard'!$B$3:$M$94,L$9,0),1)</f>
        <v>40</v>
      </c>
      <c r="M18" s="274">
        <f>ROUND(VLOOKUP($E18,'BDEW-Standard'!$B$3:$M$94,M$9,0),7)</f>
        <v>-5.3582999999999999E-2</v>
      </c>
      <c r="N18" s="274">
        <f>ROUND(VLOOKUP($E18,'BDEW-Standard'!$B$3:$M$94,N$9,0),7)</f>
        <v>0.99959010000000004</v>
      </c>
      <c r="O18" s="274">
        <f>ROUND(VLOOKUP($E18,'BDEW-Standard'!$B$3:$M$94,O$9,0),7)</f>
        <v>-2.1757999999999999E-3</v>
      </c>
      <c r="P18" s="274">
        <f>ROUND(VLOOKUP($E18,'BDEW-Standard'!$B$3:$M$94,P$9,0),7)</f>
        <v>0.1633299</v>
      </c>
      <c r="Q18" s="339">
        <f t="shared" si="1"/>
        <v>1.0000001838008261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Gesamtnetz</v>
      </c>
      <c r="D19" s="62" t="s">
        <v>247</v>
      </c>
      <c r="E19" s="165" t="s">
        <v>674</v>
      </c>
      <c r="F19" s="297" t="str">
        <f>VLOOKUP($E19,'BDEW-Standard'!$B$3:$M$94,F$9,0)</f>
        <v>AG4</v>
      </c>
      <c r="H19" s="274">
        <f>ROUND(VLOOKUP($E19,'BDEW-Standard'!$B$3:$M$94,H$9,0),7)</f>
        <v>1.1848320000000001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7.9310699999999998E-2</v>
      </c>
      <c r="L19" s="338">
        <f>ROUND(VLOOKUP($E19,'BDEW-Standard'!$B$3:$M$94,L$9,0),1)</f>
        <v>40</v>
      </c>
      <c r="M19" s="274">
        <f>ROUND(VLOOKUP($E19,'BDEW-Standard'!$B$3:$M$94,M$9,0),7)</f>
        <v>-6.8738300000000002E-2</v>
      </c>
      <c r="N19" s="274">
        <f>ROUND(VLOOKUP($E19,'BDEW-Standard'!$B$3:$M$94,N$9,0),7)</f>
        <v>1.130857</v>
      </c>
      <c r="O19" s="274">
        <f>ROUND(VLOOKUP($E19,'BDEW-Standard'!$B$3:$M$94,O$9,0),7)</f>
        <v>-6.5870000000000002E-4</v>
      </c>
      <c r="P19" s="274">
        <f>ROUND(VLOOKUP($E19,'BDEW-Standard'!$B$3:$M$94,P$9,0),7)</f>
        <v>0.19103010000000001</v>
      </c>
      <c r="Q19" s="339">
        <f t="shared" si="1"/>
        <v>1.0000000851295017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Gesamtnetz</v>
      </c>
      <c r="D20" s="62" t="s">
        <v>247</v>
      </c>
      <c r="E20" s="165" t="s">
        <v>675</v>
      </c>
      <c r="F20" s="297" t="str">
        <f>VLOOKUP($E20,'BDEW-Standard'!$B$3:$M$94,F$9,0)</f>
        <v>HB4</v>
      </c>
      <c r="H20" s="274">
        <f>ROUND(VLOOKUP($E20,'BDEW-Standard'!$B$3:$M$94,H$9,0),7)</f>
        <v>0.98725850000000004</v>
      </c>
      <c r="I20" s="274">
        <f>ROUND(VLOOKUP($E20,'BDEW-Standard'!$B$3:$M$94,I$9,0),7)</f>
        <v>-35.253212400000002</v>
      </c>
      <c r="J20" s="274">
        <f>ROUND(VLOOKUP($E20,'BDEW-Standard'!$B$3:$M$94,J$9,0),7)</f>
        <v>6.0587001000000003</v>
      </c>
      <c r="K20" s="274">
        <f>ROUND(VLOOKUP($E20,'BDEW-Standard'!$B$3:$M$94,K$9,0),7)</f>
        <v>7.9351199999999997E-2</v>
      </c>
      <c r="L20" s="338">
        <f>ROUND(VLOOKUP($E20,'BDEW-Standard'!$B$3:$M$94,L$9,0),1)</f>
        <v>40</v>
      </c>
      <c r="M20" s="274">
        <f>ROUND(VLOOKUP($E20,'BDEW-Standard'!$B$3:$M$94,M$9,0),7)</f>
        <v>-4.9501299999999998E-2</v>
      </c>
      <c r="N20" s="274">
        <f>ROUND(VLOOKUP($E20,'BDEW-Standard'!$B$3:$M$94,N$9,0),7)</f>
        <v>0.96379990000000004</v>
      </c>
      <c r="O20" s="274">
        <f>ROUND(VLOOKUP($E20,'BDEW-Standard'!$B$3:$M$94,O$9,0),7)</f>
        <v>-2.2304E-3</v>
      </c>
      <c r="P20" s="274">
        <f>ROUND(VLOOKUP($E20,'BDEW-Standard'!$B$3:$M$94,P$9,0),7)</f>
        <v>0.22883980000000001</v>
      </c>
      <c r="Q20" s="339">
        <f t="shared" si="1"/>
        <v>1.000000249892145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Gesamtnetz</v>
      </c>
      <c r="D21" s="62" t="s">
        <v>247</v>
      </c>
      <c r="E21" s="165" t="s">
        <v>676</v>
      </c>
      <c r="F21" s="297" t="str">
        <f>VLOOKUP($E21,'BDEW-Standard'!$B$3:$M$94,F$9,0)</f>
        <v>AW4</v>
      </c>
      <c r="H21" s="274">
        <f>ROUND(VLOOKUP($E21,'BDEW-Standard'!$B$3:$M$94,H$9,0),7)</f>
        <v>0.39253389999999999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0.3045099</v>
      </c>
      <c r="L21" s="338">
        <f>ROUND(VLOOKUP($E21,'BDEW-Standard'!$B$3:$M$94,L$9,0),1)</f>
        <v>40</v>
      </c>
      <c r="M21" s="274">
        <f>ROUND(VLOOKUP($E21,'BDEW-Standard'!$B$3:$M$94,M$9,0),7)</f>
        <v>-1.67993E-2</v>
      </c>
      <c r="N21" s="274">
        <f>ROUND(VLOOKUP($E21,'BDEW-Standard'!$B$3:$M$94,N$9,0),7)</f>
        <v>0.67108889999999999</v>
      </c>
      <c r="O21" s="274">
        <f>ROUND(VLOOKUP($E21,'BDEW-Standard'!$B$3:$M$94,O$9,0),7)</f>
        <v>-2.0301E-3</v>
      </c>
      <c r="P21" s="274">
        <f>ROUND(VLOOKUP($E21,'BDEW-Standard'!$B$3:$M$94,P$9,0),7)</f>
        <v>0.56146229999999997</v>
      </c>
      <c r="Q21" s="339">
        <f t="shared" si="1"/>
        <v>0.99999985965518789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Gesamtnetz</v>
      </c>
      <c r="D22" s="62" t="s">
        <v>247</v>
      </c>
      <c r="E22" s="165" t="s">
        <v>667</v>
      </c>
      <c r="F22" s="297" t="str">
        <f>VLOOKUP($E22,'BDEW-Standard'!$B$3:$M$94,F$9,0)</f>
        <v>DB4</v>
      </c>
      <c r="H22" s="274">
        <f>ROUND(VLOOKUP($E22,'BDEW-Standard'!$B$3:$M$94,H$9,0),7)</f>
        <v>1.5175791999999999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2.9580100000000002E-2</v>
      </c>
      <c r="L22" s="338">
        <f>ROUND(VLOOKUP($E22,'BDEW-Standard'!$B$3:$M$94,L$9,0),1)</f>
        <v>40</v>
      </c>
      <c r="M22" s="274">
        <f>ROUND(VLOOKUP($E22,'BDEW-Standard'!$B$3:$M$94,M$9,0),7)</f>
        <v>-7.8855900000000007E-2</v>
      </c>
      <c r="N22" s="274">
        <f>ROUND(VLOOKUP($E22,'BDEW-Standard'!$B$3:$M$94,N$9,0),7)</f>
        <v>1.2161249999999999</v>
      </c>
      <c r="O22" s="274">
        <f>ROUND(VLOOKUP($E22,'BDEW-Standard'!$B$3:$M$94,O$9,0),7)</f>
        <v>-1.3133999999999999E-3</v>
      </c>
      <c r="P22" s="274">
        <f>ROUND(VLOOKUP($E22,'BDEW-Standard'!$B$3:$M$94,P$9,0),7)</f>
        <v>9.6872100000000003E-2</v>
      </c>
      <c r="Q22" s="339">
        <f t="shared" si="1"/>
        <v>1.0000002163173649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3"/>
      <c r="Z22" s="211"/>
    </row>
    <row r="23" spans="2:26" s="143" customFormat="1">
      <c r="B23" s="144">
        <v>12</v>
      </c>
      <c r="C23" s="145" t="str">
        <f t="shared" si="0"/>
        <v>Gesamtnetz</v>
      </c>
      <c r="D23" s="62" t="s">
        <v>247</v>
      </c>
      <c r="E23" s="165" t="s">
        <v>677</v>
      </c>
      <c r="F23" s="297" t="str">
        <f>VLOOKUP($E23,'BDEW-Standard'!$B$3:$M$94,F$9,0)</f>
        <v>BG4</v>
      </c>
      <c r="H23" s="274">
        <f>ROUND(VLOOKUP($E23,'BDEW-Standard'!$B$3:$M$94,H$9,0),7)</f>
        <v>1.6266811999999999</v>
      </c>
      <c r="I23" s="274">
        <f>ROUND(VLOOKUP($E23,'BDEW-Standard'!$B$3:$M$94,I$9,0),7)</f>
        <v>-37.882536799999997</v>
      </c>
      <c r="J23" s="274">
        <f>ROUND(VLOOKUP($E23,'BDEW-Standard'!$B$3:$M$94,J$9,0),7)</f>
        <v>6.9836070000000001</v>
      </c>
      <c r="K23" s="274">
        <f>ROUND(VLOOKUP($E23,'BDEW-Standard'!$B$3:$M$94,K$9,0),7)</f>
        <v>2.97136E-2</v>
      </c>
      <c r="L23" s="338">
        <f>ROUND(VLOOKUP($E23,'BDEW-Standard'!$B$3:$M$94,L$9,0),1)</f>
        <v>40</v>
      </c>
      <c r="M23" s="274">
        <f>ROUND(VLOOKUP($E23,'BDEW-Standard'!$B$3:$M$94,M$9,0),7)</f>
        <v>-8.5433300000000004E-2</v>
      </c>
      <c r="N23" s="274">
        <f>ROUND(VLOOKUP($E23,'BDEW-Standard'!$B$3:$M$94,N$9,0),7)</f>
        <v>1.2709629</v>
      </c>
      <c r="O23" s="274">
        <f>ROUND(VLOOKUP($E23,'BDEW-Standard'!$B$3:$M$94,O$9,0),7)</f>
        <v>-1.1318999999999999E-3</v>
      </c>
      <c r="P23" s="274">
        <f>ROUND(VLOOKUP($E23,'BDEW-Standard'!$B$3:$M$94,P$9,0),7)</f>
        <v>9.2812400000000003E-2</v>
      </c>
      <c r="Q23" s="339">
        <f t="shared" si="1"/>
        <v>0.99999990532820671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Gesamtnetz</v>
      </c>
      <c r="D24" s="62" t="s">
        <v>247</v>
      </c>
      <c r="E24" s="165" t="s">
        <v>678</v>
      </c>
      <c r="F24" s="297" t="s">
        <v>679</v>
      </c>
      <c r="H24" s="274">
        <f>ROUND(VLOOKUP($E24,'BDEW-Standard'!$B$3:$M$158,H$9,0),7)</f>
        <v>0.35376400000000002</v>
      </c>
      <c r="I24" s="274">
        <f>ROUND(VLOOKUP($E24,'BDEW-Standard'!$B$3:$M$158,I$9,0),7)</f>
        <v>-33.35</v>
      </c>
      <c r="J24" s="274">
        <f>ROUND(VLOOKUP($E24,'BDEW-Standard'!$B$3:$M$158,J$9,0),7)</f>
        <v>5.7212303000000002</v>
      </c>
      <c r="K24" s="274">
        <f>ROUND(VLOOKUP($E24,'BDEW-Standard'!$B$3:$M$158,K$9,0),7)</f>
        <v>0.3033305</v>
      </c>
      <c r="L24" s="338">
        <f>ROUND(VLOOKUP($E24,'BDEW-Standard'!$B$3:$M$158,L$9,0),1)</f>
        <v>40</v>
      </c>
      <c r="M24" s="274">
        <f>ROUND(VLOOKUP($E24,'BDEW-Standard'!$B$3:$M$158,M$9,0),7)</f>
        <v>-1.77463E-2</v>
      </c>
      <c r="N24" s="274">
        <f>ROUND(VLOOKUP($E24,'BDEW-Standard'!$B$3:$M$158,N$9,0),7)</f>
        <v>0.68256989999999995</v>
      </c>
      <c r="O24" s="274">
        <f>ROUND(VLOOKUP($E24,'BDEW-Standard'!$B$3:$M$158,O$9,0),7)</f>
        <v>-1.3912E-3</v>
      </c>
      <c r="P24" s="274">
        <f>ROUND(VLOOKUP($E24,'BDEW-Standard'!$B$3:$M$158,P$9,0),7)</f>
        <v>0.54346240000000001</v>
      </c>
      <c r="Q24" s="339">
        <f>($H24/(1+($I24/($Q$9-$L24))^$J24)+$K24)+MAX($M24*$Q$9+$N24,$O24*$Q$9+$P24)</f>
        <v>1.0000003335127634</v>
      </c>
      <c r="R24" s="275">
        <f>ROUND(VLOOKUP(MID($E24,4,3),'Wochentag F(WT)'!$B$7:$J$22,R$9,0),4)</f>
        <v>1.0848</v>
      </c>
      <c r="S24" s="275">
        <f>ROUND(VLOOKUP(MID($E24,4,3),'Wochentag F(WT)'!$B$7:$J$22,S$9,0),4)</f>
        <v>1.1211</v>
      </c>
      <c r="T24" s="275">
        <f>ROUND(VLOOKUP(MID($E24,4,3),'Wochentag F(WT)'!$B$7:$J$22,T$9,0),4)</f>
        <v>1.0769</v>
      </c>
      <c r="U24" s="275">
        <f>ROUND(VLOOKUP(MID($E24,4,3),'Wochentag F(WT)'!$B$7:$J$22,U$9,0),4)</f>
        <v>1.1353</v>
      </c>
      <c r="V24" s="275">
        <f>ROUND(VLOOKUP(MID($E24,4,3),'Wochentag F(WT)'!$B$7:$J$22,V$9,0),4)</f>
        <v>1.1402000000000001</v>
      </c>
      <c r="W24" s="275">
        <f>ROUND(VLOOKUP(MID($E24,4,3),'Wochentag F(WT)'!$B$7:$J$22,W$9,0),4)</f>
        <v>0.48520000000000002</v>
      </c>
      <c r="X24" s="276">
        <f>7-SUM(R24:W24)</f>
        <v>0.95650000000000013</v>
      </c>
      <c r="Y24" s="293"/>
      <c r="Z24" s="211"/>
    </row>
    <row r="25" spans="2:26" s="143" customFormat="1">
      <c r="B25" s="144">
        <v>14</v>
      </c>
      <c r="C25" s="145" t="str">
        <f t="shared" si="0"/>
        <v>Gesamtnetz</v>
      </c>
      <c r="D25" s="62" t="s">
        <v>247</v>
      </c>
      <c r="E25" s="165" t="s">
        <v>680</v>
      </c>
      <c r="F25" s="297" t="s">
        <v>681</v>
      </c>
      <c r="H25" s="274">
        <v>1.2569600000000001</v>
      </c>
      <c r="I25" s="274">
        <v>-36.607845300000001</v>
      </c>
      <c r="J25" s="274">
        <v>7.3211870000000001</v>
      </c>
      <c r="K25" s="274">
        <v>0.77695999999999998</v>
      </c>
      <c r="L25" s="338">
        <v>40</v>
      </c>
      <c r="M25" s="274">
        <v>-6.9682599999999997E-2</v>
      </c>
      <c r="N25" s="274">
        <v>1.1379702</v>
      </c>
      <c r="O25" s="274">
        <v>-8.5220000000000001E-4</v>
      </c>
      <c r="P25" s="274">
        <v>0.19210679999999999</v>
      </c>
      <c r="Q25" s="339">
        <v>1</v>
      </c>
      <c r="R25" s="275">
        <v>1.03</v>
      </c>
      <c r="S25" s="275">
        <v>1.03</v>
      </c>
      <c r="T25" s="275">
        <v>1.02</v>
      </c>
      <c r="U25" s="275">
        <v>1.03</v>
      </c>
      <c r="V25" s="275">
        <v>1.01</v>
      </c>
      <c r="W25" s="275">
        <v>0.93</v>
      </c>
      <c r="X25" s="276">
        <v>0.95</v>
      </c>
      <c r="Y25" s="293"/>
      <c r="Z25" s="211"/>
    </row>
    <row r="26" spans="2:26" s="143" customFormat="1">
      <c r="B26" s="144">
        <v>15</v>
      </c>
      <c r="C26" s="145" t="str">
        <f t="shared" si="0"/>
        <v>Gesamtnetz</v>
      </c>
      <c r="D26" s="62" t="s">
        <v>247</v>
      </c>
      <c r="E26" s="165" t="s">
        <v>682</v>
      </c>
      <c r="F26" s="297" t="s">
        <v>683</v>
      </c>
      <c r="H26" s="274">
        <v>1.8834609</v>
      </c>
      <c r="I26" s="274">
        <v>-37</v>
      </c>
      <c r="J26" s="274">
        <v>10.2405021</v>
      </c>
      <c r="K26" s="274">
        <v>2.7546999999999999E-2</v>
      </c>
      <c r="L26" s="338">
        <v>40</v>
      </c>
      <c r="M26" s="274">
        <v>-0.12531</v>
      </c>
      <c r="N26" s="274">
        <v>1.6275999000000001</v>
      </c>
      <c r="O26" s="274">
        <v>-1.105E-4</v>
      </c>
      <c r="P26" s="274">
        <v>6.3511899999999996E-2</v>
      </c>
      <c r="Q26" s="339">
        <v>1</v>
      </c>
      <c r="R26" s="275">
        <v>1.0214000000000001</v>
      </c>
      <c r="S26" s="275">
        <v>1.0866</v>
      </c>
      <c r="T26" s="275">
        <v>1.0720000000000001</v>
      </c>
      <c r="U26" s="275">
        <v>1.0557000000000001</v>
      </c>
      <c r="V26" s="275">
        <v>1.0117</v>
      </c>
      <c r="W26" s="275">
        <v>0.90010000000000001</v>
      </c>
      <c r="X26" s="276">
        <v>0.85109999999999997</v>
      </c>
      <c r="Y26" s="293"/>
      <c r="Z26" s="211"/>
    </row>
    <row r="27" spans="2:26" s="143" customFormat="1">
      <c r="B27" s="144">
        <v>16</v>
      </c>
      <c r="C27" s="145" t="str">
        <f t="shared" si="0"/>
        <v>Gesamtnetz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Gesamtnetz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Gesamtnetz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Gesamtnetz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Gesamtnetz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Gesamtnetz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Gesamtnetz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Gesamtnetz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Gesamtnetz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Gesamtnetz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Gesamtnetz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Gesamtnetz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Gesamtnetz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Gesamtnetz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Gesamtnetz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23 M11:P23 R11:Y23 R25:Y41 Y24 M25:P41 H25:K41">
    <cfRule type="expression" dxfId="52" priority="17">
      <formula>ISERROR(F11)</formula>
    </cfRule>
  </conditionalFormatting>
  <conditionalFormatting sqref="Y12:Y41 E12:F41">
    <cfRule type="duplicateValues" dxfId="51" priority="39"/>
  </conditionalFormatting>
  <conditionalFormatting sqref="L11:L23 L25:L41">
    <cfRule type="expression" dxfId="50" priority="8">
      <formula>ISERROR(L11)</formula>
    </cfRule>
  </conditionalFormatting>
  <conditionalFormatting sqref="Q11:Q23 Q25:Q41">
    <cfRule type="expression" dxfId="49" priority="7">
      <formula>ISERROR(Q11)</formula>
    </cfRule>
  </conditionalFormatting>
  <conditionalFormatting sqref="H24:K24 M24:P24 R24:X24">
    <cfRule type="expression" dxfId="48" priority="3">
      <formula>ISERROR(H24)</formula>
    </cfRule>
  </conditionalFormatting>
  <conditionalFormatting sqref="L24">
    <cfRule type="expression" dxfId="47" priority="2">
      <formula>ISERROR(L24)</formula>
    </cfRule>
  </conditionalFormatting>
  <conditionalFormatting sqref="Q24">
    <cfRule type="expression" dxfId="46" priority="1">
      <formula>ISERROR(Q24)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3 C13:C33 C34:C41 M12:X23" unlockedFormula="1"/>
    <ignoredError sqref="L12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K15" sqref="K1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Schramberg GmbH &amp; Co. KG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Gesamtnetz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9870048500002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43101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Gesamtnetz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-0.5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0.5</v>
      </c>
      <c r="I15" s="57"/>
      <c r="J15" s="130"/>
      <c r="K15" s="130"/>
      <c r="L15" s="130"/>
      <c r="M15" s="130"/>
      <c r="N15" s="130"/>
      <c r="O15" s="161" t="s">
        <v>665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10817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Königsfeld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10817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Temp.-Prog.</v>
      </c>
      <c r="H70" s="163" t="str">
        <f t="shared" si="17"/>
        <v>Temp.-Prog.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52 F62 G24:N24 G70:N70 E32:N34 E69:N69 F25:N25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Schramberg GmbH &amp; Co. KG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Gesamtnetz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9870048500002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43101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P25" sqref="P2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Schramberg GmbH &amp; Co. KG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Gesamtnetz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9870048500002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43101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SLP-Profile</vt:lpstr>
      <vt:lpstr>SLP-Temp-Gebiet #01</vt:lpstr>
      <vt:lpstr>SLP-Temp-Gebiet #02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Kleint Nicole</cp:lastModifiedBy>
  <cp:lastPrinted>2015-03-20T22:59:10Z</cp:lastPrinted>
  <dcterms:created xsi:type="dcterms:W3CDTF">2015-01-15T05:25:41Z</dcterms:created>
  <dcterms:modified xsi:type="dcterms:W3CDTF">2019-03-27T11:14:05Z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-1563118734</vt:i4>
  </property>
  <property fmtid="{D5CDD505-2E9C-101B-9397-08002B2CF9AE}" pid="3" name="_NewReviewCycle">
    <vt:lpwstr/>
  </property>
  <property fmtid="{D5CDD505-2E9C-101B-9397-08002B2CF9AE}" pid="4" name="_EmailSubject">
    <vt:lpwstr>Excel-Vorlage für verfahrensspezifische Parameter </vt:lpwstr>
  </property>
  <property fmtid="{D5CDD505-2E9C-101B-9397-08002B2CF9AE}" pid="5" name="_AuthorEmail">
    <vt:lpwstr>Stephan.Kirschnick@bbh-online.de</vt:lpwstr>
  </property>
  <property fmtid="{D5CDD505-2E9C-101B-9397-08002B2CF9AE}" pid="6" name="_AuthorEmailDisplayName">
    <vt:lpwstr>Kirschnick, Stephan</vt:lpwstr>
  </property>
  <property fmtid="{D5CDD505-2E9C-101B-9397-08002B2CF9AE}" pid="7" name="_ReviewingToolsShownOnc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